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johnm\Downloads\"/>
    </mc:Choice>
  </mc:AlternateContent>
  <xr:revisionPtr revIDLastSave="0" documentId="13_ncr:1_{87E79037-E3CF-425E-9DC2-3C11761589C0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Read Me" sheetId="1" r:id="rId1"/>
    <sheet name="Inputs" sheetId="2" r:id="rId2"/>
    <sheet name="Calculations" sheetId="3" r:id="rId3"/>
    <sheet name="Scenarios" sheetId="4" r:id="rId4"/>
    <sheet name="Projection" sheetId="5" r:id="rId5"/>
    <sheet name="Dashboard" sheetId="6" r:id="rId6"/>
  </sheets>
  <definedNames>
    <definedName name="Calc_BE_Occ">Calculations!$E$9</definedName>
    <definedName name="Calc_BE_Ratio">Calculations!$E$10</definedName>
    <definedName name="Calc_DS_Used">Calculations!$E$8</definedName>
    <definedName name="Calc_NOI">Calculations!$E$7</definedName>
    <definedName name="Calc_OpEx">Calculations!$E$6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6" l="1"/>
  <c r="F6" i="6"/>
  <c r="C11" i="5"/>
  <c r="C12" i="5" s="1"/>
  <c r="C10" i="5"/>
  <c r="D10" i="5" s="1"/>
  <c r="C42" i="3"/>
  <c r="C41" i="3"/>
  <c r="C40" i="3"/>
  <c r="C39" i="3"/>
  <c r="C38" i="3"/>
  <c r="C37" i="3"/>
  <c r="C36" i="3"/>
  <c r="C35" i="3"/>
  <c r="C34" i="3"/>
  <c r="C29" i="3"/>
  <c r="C28" i="3"/>
  <c r="C27" i="3"/>
  <c r="C26" i="3"/>
  <c r="C23" i="3"/>
  <c r="C22" i="3"/>
  <c r="C21" i="3"/>
  <c r="C31" i="3" s="1"/>
  <c r="C19" i="3"/>
  <c r="C18" i="3"/>
  <c r="C17" i="3"/>
  <c r="C16" i="3"/>
  <c r="H11" i="3"/>
  <c r="H9" i="3"/>
  <c r="H8" i="3"/>
  <c r="L9" i="4" s="1"/>
  <c r="H7" i="3"/>
  <c r="H10" i="3" s="1"/>
  <c r="H12" i="3" s="1"/>
  <c r="H6" i="3"/>
  <c r="F11" i="5" l="1"/>
  <c r="F14" i="5"/>
  <c r="F10" i="5"/>
  <c r="H14" i="3"/>
  <c r="E8" i="3" s="1"/>
  <c r="C9" i="3" s="1"/>
  <c r="C9" i="6" s="1"/>
  <c r="F12" i="5"/>
  <c r="F13" i="5"/>
  <c r="E10" i="5"/>
  <c r="D12" i="5"/>
  <c r="C13" i="5"/>
  <c r="H13" i="3"/>
  <c r="I6" i="4"/>
  <c r="J6" i="4" s="1"/>
  <c r="I7" i="4"/>
  <c r="J7" i="4" s="1"/>
  <c r="I8" i="4"/>
  <c r="J8" i="4" s="1"/>
  <c r="I9" i="4"/>
  <c r="J9" i="4" s="1"/>
  <c r="C24" i="3"/>
  <c r="C32" i="3" s="1"/>
  <c r="D11" i="5"/>
  <c r="C30" i="3"/>
  <c r="L6" i="4"/>
  <c r="L7" i="4"/>
  <c r="L8" i="4"/>
  <c r="C43" i="3" l="1"/>
  <c r="C44" i="3" s="1"/>
  <c r="E6" i="3" s="1"/>
  <c r="C45" i="3"/>
  <c r="E7" i="3" s="1"/>
  <c r="H10" i="5"/>
  <c r="G10" i="5"/>
  <c r="K9" i="4"/>
  <c r="M9" i="4" s="1"/>
  <c r="H9" i="4" s="1"/>
  <c r="K8" i="4"/>
  <c r="M8" i="4"/>
  <c r="H8" i="4" s="1"/>
  <c r="K6" i="4"/>
  <c r="D13" i="5"/>
  <c r="C14" i="5"/>
  <c r="D14" i="5" s="1"/>
  <c r="I10" i="5"/>
  <c r="K7" i="4"/>
  <c r="I11" i="5"/>
  <c r="E11" i="5"/>
  <c r="E12" i="5"/>
  <c r="I12" i="5"/>
  <c r="E14" i="5" l="1"/>
  <c r="I14" i="5" s="1"/>
  <c r="G7" i="4"/>
  <c r="F7" i="4"/>
  <c r="G8" i="4"/>
  <c r="F8" i="4"/>
  <c r="M7" i="4"/>
  <c r="H7" i="4" s="1"/>
  <c r="I13" i="5"/>
  <c r="E13" i="5"/>
  <c r="G12" i="5"/>
  <c r="H12" i="5"/>
  <c r="G6" i="4"/>
  <c r="F6" i="4"/>
  <c r="C8" i="3"/>
  <c r="H15" i="3"/>
  <c r="C11" i="6" s="1"/>
  <c r="F9" i="4"/>
  <c r="G9" i="4"/>
  <c r="H11" i="5"/>
  <c r="G11" i="5"/>
  <c r="M6" i="4"/>
  <c r="H6" i="4" s="1"/>
  <c r="E10" i="3"/>
  <c r="C7" i="3" s="1"/>
  <c r="C7" i="6" s="1"/>
  <c r="E9" i="3"/>
  <c r="C6" i="3" s="1"/>
  <c r="C10" i="3" l="1"/>
  <c r="C10" i="6" s="1"/>
  <c r="C8" i="6"/>
  <c r="C11" i="3"/>
  <c r="F8" i="6" s="1"/>
  <c r="C6" i="6"/>
  <c r="C12" i="3"/>
  <c r="F9" i="6" s="1"/>
  <c r="H13" i="5"/>
  <c r="G13" i="5"/>
  <c r="G14" i="5"/>
  <c r="H14" i="5"/>
</calcChain>
</file>

<file path=xl/sharedStrings.xml><?xml version="1.0" encoding="utf-8"?>
<sst xmlns="http://schemas.openxmlformats.org/spreadsheetml/2006/main" count="162" uniqueCount="114">
  <si>
    <t>Multifamily Break-Even Analysis Model (Companion Download)</t>
  </si>
  <si>
    <t>Version 1.0 • Built Feb 18, 2026 • Inputs in BLUE text</t>
  </si>
  <si>
    <t>How to Use</t>
  </si>
  <si>
    <t xml:space="preserve">1) Go to the Inputs sheet and enter property, income, expense, and debt assumptions (blue text cells).
2) Review Results on the Calculations and Dashboard sheets.
3) Use the Scenarios sheet to stress-test rent and expense shocks and optional interest-rate shocks.
4) Use the Projection sheet to model break-even occupancy over a 5-year hold period.
Key outputs:
• Break-Even Occupancy (BE Occ): minimum occupied % required for solvency under the selected debt-service mode.
• Break-Even Ratio (BE Ratio): % of gross operating income consumed by OpEx + debt service.
• DSCR: NOI / Debt Service (Year 1 or Stabilized, based on the mode).
</t>
  </si>
  <si>
    <t>Model Notes (Important)</t>
  </si>
  <si>
    <t xml:space="preserve">• Break-Even Occupancy accounts for fixed other income by reducing the revenue required from occupancy-driven income.
• Variable other income is assumed to scale with occupancy.
• Operating expenses include a separate line for replacement reserves; include your required reserve level.
• This is a planning model for education. It is not legal, tax, or investment advice.
</t>
  </si>
  <si>
    <t>Inputs (Blue = editable)</t>
  </si>
  <si>
    <t>Market Context (optional)</t>
  </si>
  <si>
    <t>Property &amp; Income Assumptions</t>
  </si>
  <si>
    <t>Debt Assumptions</t>
  </si>
  <si>
    <t>Property Name</t>
  </si>
  <si>
    <t>Sample Mid-Rise</t>
  </si>
  <si>
    <t/>
  </si>
  <si>
    <t>Loan Amount</t>
  </si>
  <si>
    <t>City / Submarket</t>
  </si>
  <si>
    <t>San Francisco, CA</t>
  </si>
  <si>
    <t>Interest Rate (%)</t>
  </si>
  <si>
    <t>Total Units</t>
  </si>
  <si>
    <t>Amortization (Years)</t>
  </si>
  <si>
    <t>Avg Market Rent / Unit / Month</t>
  </si>
  <si>
    <t>Interest-Only Period (Months)</t>
  </si>
  <si>
    <t>Variable Other Income / Unit / Month</t>
  </si>
  <si>
    <t>Debt Service Mode for KPIs</t>
  </si>
  <si>
    <t>Stabilized (Amortizing)</t>
  </si>
  <si>
    <t>Fixed Other Income / Month</t>
  </si>
  <si>
    <t>Vacancy Assumption (%)</t>
  </si>
  <si>
    <t>Current Market Occupancy (%)</t>
  </si>
  <si>
    <t>Credit Loss (%)</t>
  </si>
  <si>
    <t>Downturn Occupancy (%)</t>
  </si>
  <si>
    <t>Concessions (%)</t>
  </si>
  <si>
    <t>Target Cushion (pts)</t>
  </si>
  <si>
    <t>Operating Expenses (Annual)</t>
  </si>
  <si>
    <t>Property Taxes</t>
  </si>
  <si>
    <t>Insurance</t>
  </si>
  <si>
    <t>Utilities</t>
  </si>
  <si>
    <t>Repairs &amp; Maintenance</t>
  </si>
  <si>
    <t>Payroll / On-site</t>
  </si>
  <si>
    <t>Administrative</t>
  </si>
  <si>
    <t>Marketing / Turnover</t>
  </si>
  <si>
    <t>Replacement Reserves</t>
  </si>
  <si>
    <t>Management Fee (% of EGI)</t>
  </si>
  <si>
    <t>Tip: Keep inputs conservative. If you are underwriting a value-add, model renovation disruption in Scenarios and ensure you have sufficient liquidity to absorb the worst quarter.</t>
  </si>
  <si>
    <t>Calculations (Formulas)</t>
  </si>
  <si>
    <t>Key Outputs</t>
  </si>
  <si>
    <t>Debt Service</t>
  </si>
  <si>
    <t>Model Anchors</t>
  </si>
  <si>
    <t>Break-Even Occupancy (BE Occ)</t>
  </si>
  <si>
    <t>Break-Even Ratio (BE Ratio)</t>
  </si>
  <si>
    <t>Interest Rate</t>
  </si>
  <si>
    <t>NOI (Annual)</t>
  </si>
  <si>
    <t>Debt Service Used (Annual)</t>
  </si>
  <si>
    <t>DSCR</t>
  </si>
  <si>
    <t>Monthly Pmt (Amortizing)</t>
  </si>
  <si>
    <t>Cushion vs Current Market Occ (pts)</t>
  </si>
  <si>
    <t>Monthly Pmt (Interest-Only)</t>
  </si>
  <si>
    <t>Cushion vs Downturn Occ (pts)</t>
  </si>
  <si>
    <t>Annual Debt Service (Stabilized)</t>
  </si>
  <si>
    <t>Annual Debt Service (Year 1 w/ IO)</t>
  </si>
  <si>
    <t>Income &amp; Expense Build (Annual)</t>
  </si>
  <si>
    <t>Debt Service Used (Mode)</t>
  </si>
  <si>
    <t>Debt Yield (NOI / Loan)</t>
  </si>
  <si>
    <t>Units</t>
  </si>
  <si>
    <t>Debt service used in KPIs is controlled by Inputs → 'Debt Service Mode for KPIs'. Use 'Year 1 (with IO)' when underwriting an initial interest-only period.</t>
  </si>
  <si>
    <t>Rent Gross Potential Income (GPI)</t>
  </si>
  <si>
    <t>Variable Other Income Potential</t>
  </si>
  <si>
    <t>Fixed Other Income (Annual)</t>
  </si>
  <si>
    <t>Gross Potential Revenue (GPR)</t>
  </si>
  <si>
    <t>Vacancy (%)</t>
  </si>
  <si>
    <t>Vacancy Loss</t>
  </si>
  <si>
    <t>Credit Loss</t>
  </si>
  <si>
    <t>Concessions</t>
  </si>
  <si>
    <t>Effective Gross Income (EGI)</t>
  </si>
  <si>
    <t>Management Fee ($)</t>
  </si>
  <si>
    <t>Total Operating Expenses (OpEx)</t>
  </si>
  <si>
    <t>Net Operating Income (NOI)</t>
  </si>
  <si>
    <t>Stress Testing Scenarios</t>
  </si>
  <si>
    <t>Edit shocks in BLUE. Results update automatically.</t>
  </si>
  <si>
    <t>Scenario</t>
  </si>
  <si>
    <t>Rent Shock (%)</t>
  </si>
  <si>
    <t>OpEx Shock (%)</t>
  </si>
  <si>
    <t>Rate Shock (bps)</t>
  </si>
  <si>
    <t>BE Occ</t>
  </si>
  <si>
    <t>BE Ratio</t>
  </si>
  <si>
    <t>Rent_GPI_scn</t>
  </si>
  <si>
    <t>EGI_scn</t>
  </si>
  <si>
    <t>OpEx_scn</t>
  </si>
  <si>
    <t>DS_scn</t>
  </si>
  <si>
    <t>NOI_scn</t>
  </si>
  <si>
    <t>Base</t>
  </si>
  <si>
    <t>Mild</t>
  </si>
  <si>
    <t>Moderate</t>
  </si>
  <si>
    <t>Severe</t>
  </si>
  <si>
    <t>Interpretation: If Moderate stress pushes BE Occ within ~3–5 points of historical downturn occupancy, the transaction may lack sufficient cushion. Adjust price, operating plan, or leverage accordingly.</t>
  </si>
  <si>
    <t>5-Year Break-Even Projection</t>
  </si>
  <si>
    <t>Edit growth assumptions in BLUE to model how break-even changes over the hold period.</t>
  </si>
  <si>
    <t>Growth Assumptions</t>
  </si>
  <si>
    <t>Annual Rent Growth (%)</t>
  </si>
  <si>
    <t>Annual OpEx Growth (%)</t>
  </si>
  <si>
    <t>Year</t>
  </si>
  <si>
    <t>Avg Rent / Unit / Mo</t>
  </si>
  <si>
    <t>EGI</t>
  </si>
  <si>
    <t>OpEx</t>
  </si>
  <si>
    <t>Dashboard</t>
  </si>
  <si>
    <t>Summary of current underwriting and stress-test results.</t>
  </si>
  <si>
    <t>Current KPIs</t>
  </si>
  <si>
    <t>Occupancy Cushion</t>
  </si>
  <si>
    <t>Break-Even Occupancy</t>
  </si>
  <si>
    <t>Current Market Occupancy</t>
  </si>
  <si>
    <t>Break-Even Ratio</t>
  </si>
  <si>
    <t>Downturn Occupancy</t>
  </si>
  <si>
    <t>Cushion vs Current (pts)</t>
  </si>
  <si>
    <t>Cushion vs Downturn (pts)</t>
  </si>
  <si>
    <t>Debt Yield</t>
  </si>
  <si>
    <t>Advisory note:
Use break-even metrics as a survivability screen, not as a standalone decision rule. Focus on (i) the spread between break-even occupancy and historical downturn occupancy, (ii) refinance viability under higher rates, and (iii) liquidity capacity to absorb temporary dislocation (e.g., value-add renovation downtime). If moderate stress materially compresses cushion, consider adjusting price, operating plan, or leverage before committing capital.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</si>
</sst>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\$#,##0_);[Red]\(\$#,##0\);&quot;-&quot;_);_(@_)"/>
  </numFmts>
  <fonts count="13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sz val="11"/>
      <color rgb="FFFFFFFF"/>
      <name val="Calibri"/>
    </font>
    <font>
      <b/>
      <sz val="12"/>
      <color rgb="FFFFFFFF"/>
      <name val="Calibri"/>
    </font>
    <font>
      <sz val="11"/>
      <color rgb="FF000000"/>
      <name val="Calibri"/>
    </font>
    <font>
      <b/>
      <sz val="16"/>
      <color rgb="FFFFFFFF"/>
      <name val="Calibri"/>
    </font>
    <font>
      <b/>
      <sz val="11"/>
      <color rgb="FF000000"/>
      <name val="Calibri"/>
    </font>
    <font>
      <sz val="11"/>
      <color rgb="FF0000FF"/>
      <name val="Calibri"/>
    </font>
    <font>
      <sz val="10"/>
      <color rgb="FF000000"/>
      <name val="Calibri"/>
    </font>
    <font>
      <sz val="10"/>
      <name val="Calibri"/>
    </font>
    <font>
      <b/>
      <sz val="9"/>
      <color rgb="FF808080"/>
      <name val="Calibri"/>
    </font>
    <font>
      <sz val="9"/>
      <color rgb="FF000000"/>
      <name val="Calibri"/>
    </font>
    <font>
      <b/>
      <sz val="11"/>
      <color rgb="FFFFFFFF"/>
      <name val="Calibri"/>
    </font>
  </fonts>
  <fills count="8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FFFFFF"/>
      </patternFill>
    </fill>
    <fill>
      <patternFill patternType="solid">
        <fgColor rgb="FFFFF2CC"/>
      </patternFill>
    </fill>
    <fill>
      <patternFill patternType="solid">
        <fgColor rgb="FFE2EFDA"/>
      </patternFill>
    </fill>
    <fill>
      <patternFill patternType="solid">
        <fgColor rgb="FFF2F2F2"/>
      </patternFill>
    </fill>
    <fill>
      <patternFill patternType="solid">
        <fgColor rgb="FF2F559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6" fillId="0" borderId="1" xfId="0" applyFont="1" applyBorder="1" applyAlignment="1">
      <alignment horizontal="left" vertical="center" wrapText="1"/>
    </xf>
    <xf numFmtId="0" fontId="7" fillId="4" borderId="1" xfId="0" applyFont="1" applyFill="1" applyBorder="1" applyAlignment="1">
      <alignment horizontal="right" vertical="center"/>
    </xf>
    <xf numFmtId="165" fontId="7" fillId="4" borderId="1" xfId="0" applyNumberFormat="1" applyFont="1" applyFill="1" applyBorder="1" applyAlignment="1">
      <alignment horizontal="right" vertical="center"/>
    </xf>
    <xf numFmtId="164" fontId="7" fillId="4" borderId="1" xfId="0" applyNumberFormat="1" applyFont="1" applyFill="1" applyBorder="1" applyAlignment="1">
      <alignment horizontal="right" vertical="center"/>
    </xf>
    <xf numFmtId="1" fontId="7" fillId="4" borderId="1" xfId="0" applyNumberFormat="1" applyFont="1" applyFill="1" applyBorder="1" applyAlignment="1">
      <alignment horizontal="right" vertical="center"/>
    </xf>
    <xf numFmtId="0" fontId="10" fillId="0" borderId="0" xfId="0" applyFont="1"/>
    <xf numFmtId="164" fontId="4" fillId="5" borderId="1" xfId="0" applyNumberFormat="1" applyFont="1" applyFill="1" applyBorder="1" applyAlignment="1">
      <alignment horizontal="right" vertical="center"/>
    </xf>
    <xf numFmtId="0" fontId="11" fillId="3" borderId="0" xfId="0" applyFont="1" applyFill="1" applyAlignment="1">
      <alignment horizontal="left" vertical="center" wrapText="1"/>
    </xf>
    <xf numFmtId="165" fontId="4" fillId="6" borderId="1" xfId="0" applyNumberFormat="1" applyFont="1" applyFill="1" applyBorder="1" applyAlignment="1">
      <alignment horizontal="right" vertical="center"/>
    </xf>
    <xf numFmtId="164" fontId="4" fillId="6" borderId="1" xfId="0" applyNumberFormat="1" applyFont="1" applyFill="1" applyBorder="1" applyAlignment="1">
      <alignment horizontal="right" vertical="center"/>
    </xf>
    <xf numFmtId="165" fontId="4" fillId="5" borderId="1" xfId="0" applyNumberFormat="1" applyFont="1" applyFill="1" applyBorder="1" applyAlignment="1">
      <alignment horizontal="right" vertical="center"/>
    </xf>
    <xf numFmtId="1" fontId="4" fillId="6" borderId="1" xfId="0" applyNumberFormat="1" applyFont="1" applyFill="1" applyBorder="1" applyAlignment="1">
      <alignment horizontal="right" vertical="center"/>
    </xf>
    <xf numFmtId="2" fontId="4" fillId="5" borderId="1" xfId="0" applyNumberFormat="1" applyFont="1" applyFill="1" applyBorder="1" applyAlignment="1">
      <alignment horizontal="right" vertical="center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12" fillId="7" borderId="1" xfId="0" applyFont="1" applyFill="1" applyBorder="1" applyAlignment="1">
      <alignment horizontal="center" vertical="center" wrapText="1"/>
    </xf>
    <xf numFmtId="2" fontId="4" fillId="6" borderId="1" xfId="0" applyNumberFormat="1" applyFont="1" applyFill="1" applyBorder="1" applyAlignment="1">
      <alignment horizontal="right" vertical="center"/>
    </xf>
    <xf numFmtId="165" fontId="0" fillId="0" borderId="0" xfId="0" applyNumberFormat="1"/>
    <xf numFmtId="0" fontId="6" fillId="0" borderId="1" xfId="0" applyFont="1" applyBorder="1"/>
    <xf numFmtId="0" fontId="6" fillId="0" borderId="1" xfId="0" applyFont="1" applyBorder="1" applyAlignment="1">
      <alignment horizontal="center" vertical="center" wrapText="1"/>
    </xf>
    <xf numFmtId="165" fontId="0" fillId="6" borderId="1" xfId="0" applyNumberFormat="1" applyFill="1" applyBorder="1" applyAlignment="1">
      <alignment horizontal="right" vertical="center"/>
    </xf>
    <xf numFmtId="164" fontId="0" fillId="6" borderId="1" xfId="0" applyNumberFormat="1" applyFill="1" applyBorder="1" applyAlignment="1">
      <alignment horizontal="right" vertical="center"/>
    </xf>
    <xf numFmtId="2" fontId="0" fillId="6" borderId="1" xfId="0" applyNumberFormat="1" applyFill="1" applyBorder="1" applyAlignment="1">
      <alignment horizontal="right" vertical="center"/>
    </xf>
    <xf numFmtId="164" fontId="0" fillId="5" borderId="1" xfId="0" applyNumberFormat="1" applyFill="1" applyBorder="1" applyAlignment="1">
      <alignment horizontal="right" vertical="center"/>
    </xf>
    <xf numFmtId="165" fontId="0" fillId="5" borderId="1" xfId="0" applyNumberFormat="1" applyFill="1" applyBorder="1" applyAlignment="1">
      <alignment horizontal="right" vertical="center"/>
    </xf>
    <xf numFmtId="2" fontId="0" fillId="5" borderId="1" xfId="0" applyNumberFormat="1" applyFill="1" applyBorder="1" applyAlignment="1">
      <alignment horizontal="right" vertical="center"/>
    </xf>
    <xf numFmtId="0" fontId="12" fillId="7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0" fillId="0" borderId="1" xfId="0" applyBorder="1"/>
    <xf numFmtId="0" fontId="5" fillId="2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top" wrapText="1"/>
    </xf>
    <xf numFmtId="0" fontId="0" fillId="3" borderId="1" xfId="0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top" wrapText="1"/>
    </xf>
    <xf numFmtId="0" fontId="9" fillId="3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r>
              <a:rPr lang="en-US" sz="1600"/>
              <a:t>Break-Even Occupancy by Scenario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9986132685795229E-2"/>
          <c:y val="0.23047567145040732"/>
          <c:w val="0.7068924732702847"/>
          <c:h val="0.6242974830362763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Scenarios!$F$5</c:f>
              <c:strCache>
                <c:ptCount val="1"/>
                <c:pt idx="0">
                  <c:v>BE Occ</c:v>
                </c:pt>
              </c:strCache>
            </c:strRef>
          </c:tx>
          <c:spPr>
            <a:ln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anchor="ctr" anchorCtr="1"/>
              <a:lstStyle/>
              <a:p>
                <a:pPr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Scenarios!$B$6:$B$9</c:f>
              <c:strCache>
                <c:ptCount val="4"/>
                <c:pt idx="0">
                  <c:v>Base</c:v>
                </c:pt>
                <c:pt idx="1">
                  <c:v>Mild</c:v>
                </c:pt>
                <c:pt idx="2">
                  <c:v>Moderate</c:v>
                </c:pt>
                <c:pt idx="3">
                  <c:v>Severe</c:v>
                </c:pt>
              </c:strCache>
            </c:strRef>
          </c:cat>
          <c:val>
            <c:numRef>
              <c:f>Scenarios!$F$6:$F$9</c:f>
              <c:numCache>
                <c:formatCode>0.0%</c:formatCode>
                <c:ptCount val="4"/>
                <c:pt idx="0">
                  <c:v>0.35453393956163398</c:v>
                </c:pt>
                <c:pt idx="1">
                  <c:v>0.37672313653971568</c:v>
                </c:pt>
                <c:pt idx="2">
                  <c:v>0.40124803846285856</c:v>
                </c:pt>
                <c:pt idx="3">
                  <c:v>0.42633126282190625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28-4873-B94C-456E1B2742D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0%" sourceLinked="0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8100472629431206"/>
          <c:y val="0.37334460828221983"/>
          <c:w val="0.16512871259135695"/>
          <c:h val="0.46487546414914627"/>
        </c:manualLayout>
      </c:layout>
      <c:overlay val="1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r>
              <a:rPr lang="en-US"/>
              <a:t>Break-Even Occupancy Over Hold Period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Projection!$G$9</c:f>
              <c:strCache>
                <c:ptCount val="1"/>
                <c:pt idx="0">
                  <c:v>BE Occ</c:v>
                </c:pt>
              </c:strCache>
            </c:strRef>
          </c:tx>
          <c:spPr>
            <a:ln/>
          </c:spPr>
          <c:marker>
            <c:symbol val="none"/>
          </c:marker>
          <c:cat>
            <c:numRef>
              <c:f>Projection!$B$10:$B$14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Projection!$G$10:$G$14</c:f>
              <c:numCache>
                <c:formatCode>0.0%</c:formatCode>
                <c:ptCount val="5"/>
                <c:pt idx="0">
                  <c:v>0.35453393956163398</c:v>
                </c:pt>
                <c:pt idx="1">
                  <c:v>0.35328315026950291</c:v>
                </c:pt>
                <c:pt idx="2">
                  <c:v>0.35212207181348387</c:v>
                </c:pt>
                <c:pt idx="3">
                  <c:v>0.35104945256640652</c:v>
                </c:pt>
                <c:pt idx="4">
                  <c:v>0.35006406381683292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5EC-40BB-9E44-B8429FF5B1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0%" sourceLinked="0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r>
              <a:rPr lang="en-US"/>
              <a:t>Break-Even Occupancy (Scenarios)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7.9580795440310895E-2"/>
          <c:y val="0.20924377518424195"/>
          <c:w val="0.75194751566796192"/>
          <c:h val="0.66228615476929331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Scenarios!$F$5</c:f>
              <c:strCache>
                <c:ptCount val="1"/>
                <c:pt idx="0">
                  <c:v>BE Occ</c:v>
                </c:pt>
              </c:strCache>
            </c:strRef>
          </c:tx>
          <c:spPr>
            <a:ln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anchor="ctr" anchorCtr="1"/>
              <a:lstStyle/>
              <a:p>
                <a:pPr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Scenarios!$B$6:$B$9</c:f>
              <c:strCache>
                <c:ptCount val="4"/>
                <c:pt idx="0">
                  <c:v>Base</c:v>
                </c:pt>
                <c:pt idx="1">
                  <c:v>Mild</c:v>
                </c:pt>
                <c:pt idx="2">
                  <c:v>Moderate</c:v>
                </c:pt>
                <c:pt idx="3">
                  <c:v>Severe</c:v>
                </c:pt>
              </c:strCache>
            </c:strRef>
          </c:cat>
          <c:val>
            <c:numRef>
              <c:f>Scenarios!$F$6:$F$9</c:f>
              <c:numCache>
                <c:formatCode>0.0%</c:formatCode>
                <c:ptCount val="4"/>
                <c:pt idx="0">
                  <c:v>0.35453393956163398</c:v>
                </c:pt>
                <c:pt idx="1">
                  <c:v>0.37672313653971568</c:v>
                </c:pt>
                <c:pt idx="2">
                  <c:v>0.40124803846285856</c:v>
                </c:pt>
                <c:pt idx="3">
                  <c:v>0.42633126282190625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AC-4E96-8F20-C07C44EF758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0%" sourceLinked="0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r>
              <a:rPr lang="en-US"/>
              <a:t>Break-Even Occupancy (5-Year Projection)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Projection!$G$9</c:f>
              <c:strCache>
                <c:ptCount val="1"/>
                <c:pt idx="0">
                  <c:v>BE Occ</c:v>
                </c:pt>
              </c:strCache>
            </c:strRef>
          </c:tx>
          <c:spPr>
            <a:ln/>
          </c:spPr>
          <c:marker>
            <c:symbol val="none"/>
          </c:marker>
          <c:cat>
            <c:numRef>
              <c:f>Projection!$B$10:$B$14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Projection!$G$10:$G$14</c:f>
              <c:numCache>
                <c:formatCode>0.0%</c:formatCode>
                <c:ptCount val="5"/>
                <c:pt idx="0">
                  <c:v>0.35453393956163398</c:v>
                </c:pt>
                <c:pt idx="1">
                  <c:v>0.35328315026950291</c:v>
                </c:pt>
                <c:pt idx="2">
                  <c:v>0.35212207181348387</c:v>
                </c:pt>
                <c:pt idx="3">
                  <c:v>0.35104945256640652</c:v>
                </c:pt>
                <c:pt idx="4">
                  <c:v>0.35006406381683292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B0A-4CDE-8A5C-46BD1B64D8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0%" sourceLinked="0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9</xdr:row>
      <xdr:rowOff>85725</xdr:rowOff>
    </xdr:from>
    <xdr:to>
      <xdr:col>13</xdr:col>
      <xdr:colOff>28576</xdr:colOff>
      <xdr:row>20</xdr:row>
      <xdr:rowOff>66676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142874</xdr:colOff>
      <xdr:row>15</xdr:row>
      <xdr:rowOff>38099</xdr:rowOff>
    </xdr:from>
    <xdr:to>
      <xdr:col>4</xdr:col>
      <xdr:colOff>533400</xdr:colOff>
      <xdr:row>30</xdr:row>
      <xdr:rowOff>171450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57148</xdr:colOff>
      <xdr:row>12</xdr:row>
      <xdr:rowOff>66675</xdr:rowOff>
    </xdr:from>
    <xdr:to>
      <xdr:col>15</xdr:col>
      <xdr:colOff>514350</xdr:colOff>
      <xdr:row>23</xdr:row>
      <xdr:rowOff>447675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95249</xdr:colOff>
      <xdr:row>0</xdr:row>
      <xdr:rowOff>180975</xdr:rowOff>
    </xdr:from>
    <xdr:to>
      <xdr:col>15</xdr:col>
      <xdr:colOff>504824</xdr:colOff>
      <xdr:row>11</xdr:row>
      <xdr:rowOff>47625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21"/>
  <sheetViews>
    <sheetView showGridLines="0" tabSelected="1" workbookViewId="0">
      <selection activeCell="C27" sqref="C27"/>
    </sheetView>
  </sheetViews>
  <sheetFormatPr defaultRowHeight="15" x14ac:dyDescent="0.25"/>
  <cols>
    <col min="1" max="1" width="3" customWidth="1"/>
    <col min="2" max="2" width="42" customWidth="1"/>
    <col min="3" max="3" width="98" customWidth="1"/>
    <col min="4" max="4" width="3" customWidth="1"/>
  </cols>
  <sheetData>
    <row r="2" spans="2:3" ht="27.95" customHeight="1" x14ac:dyDescent="0.25">
      <c r="B2" s="36" t="s">
        <v>0</v>
      </c>
      <c r="C2" s="32"/>
    </row>
    <row r="3" spans="2:3" ht="18" customHeight="1" x14ac:dyDescent="0.25">
      <c r="B3" s="38" t="s">
        <v>1</v>
      </c>
      <c r="C3" s="32"/>
    </row>
    <row r="5" spans="2:3" ht="18" customHeight="1" x14ac:dyDescent="0.25">
      <c r="B5" s="31" t="s">
        <v>2</v>
      </c>
      <c r="C5" s="32"/>
    </row>
    <row r="6" spans="2:3" ht="120" customHeight="1" x14ac:dyDescent="0.25">
      <c r="B6" s="37" t="s">
        <v>3</v>
      </c>
      <c r="C6" s="32"/>
    </row>
    <row r="7" spans="2:3" x14ac:dyDescent="0.25">
      <c r="B7" s="32"/>
      <c r="C7" s="32"/>
    </row>
    <row r="8" spans="2:3" x14ac:dyDescent="0.25">
      <c r="B8" s="32"/>
      <c r="C8" s="32"/>
    </row>
    <row r="9" spans="2:3" x14ac:dyDescent="0.25">
      <c r="B9" s="32"/>
      <c r="C9" s="32"/>
    </row>
    <row r="10" spans="2:3" x14ac:dyDescent="0.25">
      <c r="B10" s="32"/>
      <c r="C10" s="32"/>
    </row>
    <row r="11" spans="2:3" x14ac:dyDescent="0.25">
      <c r="B11" s="32"/>
      <c r="C11" s="32"/>
    </row>
    <row r="12" spans="2:3" x14ac:dyDescent="0.25">
      <c r="B12" s="32"/>
      <c r="C12" s="32"/>
    </row>
    <row r="13" spans="2:3" x14ac:dyDescent="0.25">
      <c r="B13" s="32"/>
      <c r="C13" s="32"/>
    </row>
    <row r="14" spans="2:3" x14ac:dyDescent="0.25">
      <c r="B14" s="32"/>
      <c r="C14" s="32"/>
    </row>
    <row r="16" spans="2:3" ht="18" customHeight="1" x14ac:dyDescent="0.25">
      <c r="B16" s="31" t="s">
        <v>4</v>
      </c>
      <c r="C16" s="32"/>
    </row>
    <row r="17" spans="2:3" ht="69.95" customHeight="1" x14ac:dyDescent="0.25">
      <c r="B17" s="35" t="s">
        <v>5</v>
      </c>
      <c r="C17" s="32"/>
    </row>
    <row r="18" spans="2:3" x14ac:dyDescent="0.25">
      <c r="B18" s="32"/>
      <c r="C18" s="32"/>
    </row>
    <row r="19" spans="2:3" x14ac:dyDescent="0.25">
      <c r="B19" s="32"/>
      <c r="C19" s="32"/>
    </row>
    <row r="20" spans="2:3" x14ac:dyDescent="0.25">
      <c r="B20" s="32"/>
      <c r="C20" s="32"/>
    </row>
    <row r="21" spans="2:3" x14ac:dyDescent="0.25">
      <c r="B21" s="32"/>
      <c r="C21" s="32"/>
    </row>
  </sheetData>
  <mergeCells count="6">
    <mergeCell ref="B17:C21"/>
    <mergeCell ref="B2:C2"/>
    <mergeCell ref="B16:C16"/>
    <mergeCell ref="B6:C14"/>
    <mergeCell ref="B3:C3"/>
    <mergeCell ref="B5:C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J32"/>
  <sheetViews>
    <sheetView showGridLines="0" workbookViewId="0">
      <selection activeCell="G29" sqref="G29"/>
    </sheetView>
  </sheetViews>
  <sheetFormatPr defaultRowHeight="15" x14ac:dyDescent="0.25"/>
  <cols>
    <col min="1" max="1" width="3" customWidth="1"/>
    <col min="2" max="2" width="34" customWidth="1"/>
    <col min="3" max="3" width="22" customWidth="1"/>
    <col min="4" max="4" width="16" customWidth="1"/>
    <col min="5" max="5" width="22" customWidth="1"/>
    <col min="6" max="6" width="3" customWidth="1"/>
    <col min="7" max="7" width="34" customWidth="1"/>
    <col min="8" max="8" width="22" customWidth="1"/>
    <col min="9" max="9" width="16" customWidth="1"/>
    <col min="10" max="10" width="22" customWidth="1"/>
  </cols>
  <sheetData>
    <row r="2" spans="2:10" ht="26.1" customHeight="1" x14ac:dyDescent="0.25">
      <c r="B2" s="33" t="s">
        <v>6</v>
      </c>
      <c r="C2" s="32"/>
      <c r="D2" s="32"/>
      <c r="E2" s="32"/>
      <c r="G2" s="33" t="s">
        <v>7</v>
      </c>
      <c r="H2" s="32"/>
      <c r="I2" s="32"/>
      <c r="J2" s="32"/>
    </row>
    <row r="4" spans="2:10" ht="18" customHeight="1" x14ac:dyDescent="0.25">
      <c r="B4" s="31" t="s">
        <v>8</v>
      </c>
      <c r="C4" s="32"/>
      <c r="D4" s="32"/>
      <c r="E4" s="32"/>
      <c r="G4" s="31" t="s">
        <v>9</v>
      </c>
      <c r="H4" s="32"/>
      <c r="I4" s="32"/>
      <c r="J4" s="32"/>
    </row>
    <row r="6" spans="2:10" x14ac:dyDescent="0.25">
      <c r="B6" s="1" t="s">
        <v>10</v>
      </c>
      <c r="C6" s="2" t="s">
        <v>11</v>
      </c>
      <c r="D6" t="s">
        <v>12</v>
      </c>
      <c r="E6" t="s">
        <v>12</v>
      </c>
      <c r="G6" s="1" t="s">
        <v>13</v>
      </c>
      <c r="H6" s="3">
        <v>6500000</v>
      </c>
    </row>
    <row r="7" spans="2:10" x14ac:dyDescent="0.25">
      <c r="B7" s="1" t="s">
        <v>14</v>
      </c>
      <c r="C7" s="2" t="s">
        <v>15</v>
      </c>
      <c r="D7" t="s">
        <v>12</v>
      </c>
      <c r="E7" t="s">
        <v>12</v>
      </c>
      <c r="G7" s="1" t="s">
        <v>16</v>
      </c>
      <c r="H7" s="4">
        <v>0.06</v>
      </c>
    </row>
    <row r="8" spans="2:10" x14ac:dyDescent="0.25">
      <c r="B8" s="1" t="s">
        <v>17</v>
      </c>
      <c r="C8" s="5">
        <v>100</v>
      </c>
      <c r="D8" t="s">
        <v>12</v>
      </c>
      <c r="E8" t="s">
        <v>12</v>
      </c>
      <c r="G8" s="1" t="s">
        <v>18</v>
      </c>
      <c r="H8" s="5">
        <v>30</v>
      </c>
    </row>
    <row r="9" spans="2:10" x14ac:dyDescent="0.25">
      <c r="B9" s="1" t="s">
        <v>19</v>
      </c>
      <c r="C9" s="3">
        <v>2500</v>
      </c>
      <c r="D9" t="s">
        <v>12</v>
      </c>
      <c r="E9" t="s">
        <v>12</v>
      </c>
      <c r="G9" s="1" t="s">
        <v>20</v>
      </c>
      <c r="H9" s="5">
        <v>0</v>
      </c>
    </row>
    <row r="10" spans="2:10" ht="30" x14ac:dyDescent="0.25">
      <c r="B10" s="1" t="s">
        <v>21</v>
      </c>
      <c r="C10" s="3">
        <v>125</v>
      </c>
      <c r="D10" t="s">
        <v>12</v>
      </c>
      <c r="E10" t="s">
        <v>12</v>
      </c>
      <c r="G10" s="1" t="s">
        <v>22</v>
      </c>
      <c r="H10" s="2" t="s">
        <v>23</v>
      </c>
    </row>
    <row r="11" spans="2:10" x14ac:dyDescent="0.25">
      <c r="B11" s="1" t="s">
        <v>24</v>
      </c>
      <c r="C11" s="3">
        <v>2000</v>
      </c>
      <c r="D11" t="s">
        <v>12</v>
      </c>
      <c r="E11" t="s">
        <v>12</v>
      </c>
    </row>
    <row r="12" spans="2:10" x14ac:dyDescent="0.25">
      <c r="B12" s="1" t="s">
        <v>25</v>
      </c>
      <c r="C12" s="4">
        <v>0.06</v>
      </c>
      <c r="D12" t="s">
        <v>12</v>
      </c>
      <c r="E12" t="s">
        <v>12</v>
      </c>
      <c r="G12" s="1" t="s">
        <v>26</v>
      </c>
      <c r="H12" s="4">
        <v>0.92</v>
      </c>
    </row>
    <row r="13" spans="2:10" x14ac:dyDescent="0.25">
      <c r="B13" s="1" t="s">
        <v>27</v>
      </c>
      <c r="C13" s="4">
        <v>0.01</v>
      </c>
      <c r="D13" t="s">
        <v>12</v>
      </c>
      <c r="E13" t="s">
        <v>12</v>
      </c>
      <c r="G13" s="1" t="s">
        <v>28</v>
      </c>
      <c r="H13" s="4">
        <v>0.85</v>
      </c>
    </row>
    <row r="14" spans="2:10" x14ac:dyDescent="0.25">
      <c r="B14" s="1" t="s">
        <v>29</v>
      </c>
      <c r="C14" s="4">
        <v>5.0000000000000001E-3</v>
      </c>
      <c r="D14" t="s">
        <v>12</v>
      </c>
      <c r="E14" t="s">
        <v>12</v>
      </c>
      <c r="G14" s="1" t="s">
        <v>30</v>
      </c>
      <c r="H14" s="4">
        <v>0.05</v>
      </c>
    </row>
    <row r="16" spans="2:10" ht="18" customHeight="1" x14ac:dyDescent="0.25">
      <c r="B16" s="31" t="s">
        <v>31</v>
      </c>
      <c r="C16" s="32"/>
      <c r="D16" s="32"/>
      <c r="E16" s="32"/>
    </row>
    <row r="18" spans="2:5" x14ac:dyDescent="0.25">
      <c r="B18" s="1" t="s">
        <v>32</v>
      </c>
      <c r="C18" s="3">
        <v>180000</v>
      </c>
    </row>
    <row r="19" spans="2:5" x14ac:dyDescent="0.25">
      <c r="B19" s="1" t="s">
        <v>33</v>
      </c>
      <c r="C19" s="3">
        <v>65000</v>
      </c>
    </row>
    <row r="20" spans="2:5" x14ac:dyDescent="0.25">
      <c r="B20" s="1" t="s">
        <v>34</v>
      </c>
      <c r="C20" s="3">
        <v>95000</v>
      </c>
    </row>
    <row r="21" spans="2:5" x14ac:dyDescent="0.25">
      <c r="B21" s="1" t="s">
        <v>35</v>
      </c>
      <c r="C21" s="3">
        <v>90000</v>
      </c>
    </row>
    <row r="22" spans="2:5" x14ac:dyDescent="0.25">
      <c r="B22" s="1" t="s">
        <v>36</v>
      </c>
      <c r="C22" s="3">
        <v>60000</v>
      </c>
    </row>
    <row r="23" spans="2:5" x14ac:dyDescent="0.25">
      <c r="B23" s="1" t="s">
        <v>37</v>
      </c>
      <c r="C23" s="3">
        <v>25000</v>
      </c>
    </row>
    <row r="24" spans="2:5" x14ac:dyDescent="0.25">
      <c r="B24" s="1" t="s">
        <v>38</v>
      </c>
      <c r="C24" s="3">
        <v>20000</v>
      </c>
    </row>
    <row r="25" spans="2:5" x14ac:dyDescent="0.25">
      <c r="B25" s="1" t="s">
        <v>39</v>
      </c>
      <c r="C25" s="3">
        <v>50000</v>
      </c>
    </row>
    <row r="26" spans="2:5" x14ac:dyDescent="0.25">
      <c r="B26" s="1" t="s">
        <v>40</v>
      </c>
      <c r="C26" s="4">
        <v>0.03</v>
      </c>
    </row>
    <row r="29" spans="2:5" ht="45" customHeight="1" x14ac:dyDescent="0.25">
      <c r="B29" s="39" t="s">
        <v>41</v>
      </c>
      <c r="C29" s="32"/>
      <c r="D29" s="32"/>
      <c r="E29" s="32"/>
    </row>
    <row r="30" spans="2:5" x14ac:dyDescent="0.25">
      <c r="B30" s="32"/>
      <c r="C30" s="32"/>
      <c r="D30" s="32"/>
      <c r="E30" s="32"/>
    </row>
    <row r="31" spans="2:5" x14ac:dyDescent="0.25">
      <c r="B31" s="32"/>
      <c r="C31" s="32"/>
      <c r="D31" s="32"/>
      <c r="E31" s="32"/>
    </row>
    <row r="32" spans="2:5" x14ac:dyDescent="0.25">
      <c r="B32" s="32"/>
      <c r="C32" s="32"/>
      <c r="D32" s="32"/>
      <c r="E32" s="32"/>
    </row>
  </sheetData>
  <mergeCells count="6">
    <mergeCell ref="B29:E32"/>
    <mergeCell ref="B4:E4"/>
    <mergeCell ref="G4:J4"/>
    <mergeCell ref="B16:E16"/>
    <mergeCell ref="G2:J2"/>
    <mergeCell ref="B2:E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I45"/>
  <sheetViews>
    <sheetView showGridLines="0" topLeftCell="A6" workbookViewId="0">
      <selection activeCell="G28" sqref="G28"/>
    </sheetView>
  </sheetViews>
  <sheetFormatPr defaultRowHeight="15" x14ac:dyDescent="0.25"/>
  <cols>
    <col min="1" max="1" width="3" customWidth="1"/>
    <col min="2" max="2" width="44" customWidth="1"/>
    <col min="3" max="3" width="22" customWidth="1"/>
    <col min="4" max="4" width="18" customWidth="1"/>
    <col min="5" max="5" width="22" hidden="1" customWidth="1"/>
    <col min="6" max="6" width="3" customWidth="1"/>
    <col min="7" max="7" width="44" customWidth="1"/>
    <col min="8" max="8" width="22" customWidth="1"/>
    <col min="9" max="9" width="18" customWidth="1"/>
  </cols>
  <sheetData>
    <row r="2" spans="2:9" ht="26.1" customHeight="1" x14ac:dyDescent="0.25">
      <c r="B2" s="33" t="s">
        <v>42</v>
      </c>
      <c r="C2" s="32"/>
      <c r="D2" s="32"/>
      <c r="E2" s="32"/>
    </row>
    <row r="4" spans="2:9" ht="18" customHeight="1" x14ac:dyDescent="0.25">
      <c r="B4" s="31" t="s">
        <v>43</v>
      </c>
      <c r="C4" s="32"/>
      <c r="D4" s="32"/>
      <c r="E4" s="32"/>
      <c r="G4" s="31" t="s">
        <v>44</v>
      </c>
      <c r="H4" s="32"/>
      <c r="I4" s="32"/>
    </row>
    <row r="5" spans="2:9" x14ac:dyDescent="0.25">
      <c r="E5" s="6" t="s">
        <v>45</v>
      </c>
    </row>
    <row r="6" spans="2:9" x14ac:dyDescent="0.25">
      <c r="B6" s="1" t="s">
        <v>46</v>
      </c>
      <c r="C6" s="7">
        <f>E9</f>
        <v>0.35453393956163398</v>
      </c>
      <c r="E6" s="8">
        <f>C44</f>
        <v>673132.5</v>
      </c>
      <c r="G6" s="1" t="s">
        <v>13</v>
      </c>
      <c r="H6" s="9">
        <f>Inputs!$H$6</f>
        <v>6500000</v>
      </c>
    </row>
    <row r="7" spans="2:9" x14ac:dyDescent="0.25">
      <c r="B7" s="1" t="s">
        <v>47</v>
      </c>
      <c r="C7" s="7">
        <f>E10</f>
        <v>0.38831824002013343</v>
      </c>
      <c r="E7" s="8">
        <f>C45</f>
        <v>2264617.5</v>
      </c>
      <c r="G7" s="1" t="s">
        <v>48</v>
      </c>
      <c r="H7" s="10">
        <f>Inputs!$H$7</f>
        <v>0.06</v>
      </c>
    </row>
    <row r="8" spans="2:9" x14ac:dyDescent="0.25">
      <c r="B8" s="1" t="s">
        <v>49</v>
      </c>
      <c r="C8" s="11">
        <f>E7</f>
        <v>2264617.5</v>
      </c>
      <c r="E8" s="8">
        <f>H14</f>
        <v>467649.40961914684</v>
      </c>
      <c r="G8" s="1" t="s">
        <v>18</v>
      </c>
      <c r="H8" s="12">
        <f>Inputs!$H$8</f>
        <v>30</v>
      </c>
    </row>
    <row r="9" spans="2:9" x14ac:dyDescent="0.25">
      <c r="B9" s="1" t="s">
        <v>50</v>
      </c>
      <c r="C9" s="11">
        <f>E8</f>
        <v>467649.40961914684</v>
      </c>
      <c r="E9" s="8">
        <f>IFERROR(MAX(0,MIN(1,((E6+E8)-C23)/(C21+C22))),"-")</f>
        <v>0.35453393956163398</v>
      </c>
      <c r="G9" s="1" t="s">
        <v>20</v>
      </c>
      <c r="H9" s="12">
        <f>Inputs!$H$9</f>
        <v>0</v>
      </c>
    </row>
    <row r="10" spans="2:9" x14ac:dyDescent="0.25">
      <c r="B10" s="1" t="s">
        <v>51</v>
      </c>
      <c r="C10" s="13">
        <f>IFERROR(C8/C9,"-")</f>
        <v>4.8425539590530047</v>
      </c>
      <c r="E10" s="8">
        <f>IFERROR((E6+E8)/C32,"-")</f>
        <v>0.38831824002013343</v>
      </c>
      <c r="G10" s="1" t="s">
        <v>52</v>
      </c>
      <c r="H10" s="9">
        <f>-PMT(H7/12,H8*12,H6)</f>
        <v>38970.784134928901</v>
      </c>
    </row>
    <row r="11" spans="2:9" x14ac:dyDescent="0.25">
      <c r="B11" s="1" t="s">
        <v>53</v>
      </c>
      <c r="C11" s="7">
        <f>IFERROR(Inputs!H12-C6,"-")</f>
        <v>0.56546606043836611</v>
      </c>
      <c r="G11" s="1" t="s">
        <v>54</v>
      </c>
      <c r="H11" s="9">
        <f>H6*H7/12</f>
        <v>32500</v>
      </c>
    </row>
    <row r="12" spans="2:9" x14ac:dyDescent="0.25">
      <c r="B12" s="1" t="s">
        <v>55</v>
      </c>
      <c r="C12" s="7">
        <f>IFERROR(Inputs!H13-C6,"-")</f>
        <v>0.495466060438366</v>
      </c>
      <c r="G12" s="1" t="s">
        <v>56</v>
      </c>
      <c r="H12" s="9">
        <f>H10*12</f>
        <v>467649.40961914684</v>
      </c>
    </row>
    <row r="13" spans="2:9" x14ac:dyDescent="0.25">
      <c r="G13" s="1" t="s">
        <v>57</v>
      </c>
      <c r="H13" s="9">
        <f>H11*H9 + H10*(12-H9)</f>
        <v>467649.40961914684</v>
      </c>
    </row>
    <row r="14" spans="2:9" ht="18" customHeight="1" x14ac:dyDescent="0.25">
      <c r="B14" s="31" t="s">
        <v>58</v>
      </c>
      <c r="C14" s="32"/>
      <c r="D14" s="32"/>
      <c r="E14" s="32"/>
      <c r="G14" s="1" t="s">
        <v>59</v>
      </c>
      <c r="H14" s="9">
        <f>IF(Inputs!$H$10="Year 1 (with IO)",H13,H12)</f>
        <v>467649.40961914684</v>
      </c>
    </row>
    <row r="15" spans="2:9" x14ac:dyDescent="0.25">
      <c r="G15" s="1" t="s">
        <v>60</v>
      </c>
      <c r="H15" s="10">
        <f>IFERROR(E7/H6,"-")</f>
        <v>0.34840269230769233</v>
      </c>
    </row>
    <row r="16" spans="2:9" x14ac:dyDescent="0.25">
      <c r="B16" s="14" t="s">
        <v>61</v>
      </c>
      <c r="C16" s="12">
        <f>Inputs!$C$8</f>
        <v>100</v>
      </c>
    </row>
    <row r="17" spans="2:9" ht="50.1" customHeight="1" x14ac:dyDescent="0.25">
      <c r="B17" s="14" t="s">
        <v>19</v>
      </c>
      <c r="C17" s="9">
        <f>Inputs!$C$9</f>
        <v>2500</v>
      </c>
      <c r="G17" s="34" t="s">
        <v>62</v>
      </c>
      <c r="H17" s="32"/>
      <c r="I17" s="32"/>
    </row>
    <row r="18" spans="2:9" x14ac:dyDescent="0.25">
      <c r="B18" s="14" t="s">
        <v>21</v>
      </c>
      <c r="C18" s="9">
        <f>Inputs!$C$10</f>
        <v>125</v>
      </c>
      <c r="G18" s="32"/>
      <c r="H18" s="32"/>
      <c r="I18" s="32"/>
    </row>
    <row r="19" spans="2:9" x14ac:dyDescent="0.25">
      <c r="B19" s="14" t="s">
        <v>24</v>
      </c>
      <c r="C19" s="9">
        <f>Inputs!$C$11</f>
        <v>2000</v>
      </c>
      <c r="G19" s="32"/>
      <c r="H19" s="32"/>
      <c r="I19" s="32"/>
    </row>
    <row r="20" spans="2:9" ht="8.1" customHeight="1" x14ac:dyDescent="0.25">
      <c r="B20" s="15" t="s">
        <v>12</v>
      </c>
      <c r="C20" s="16" t="s">
        <v>12</v>
      </c>
    </row>
    <row r="21" spans="2:9" x14ac:dyDescent="0.25">
      <c r="B21" s="1" t="s">
        <v>63</v>
      </c>
      <c r="C21" s="9">
        <f>Inputs!$C$8*Inputs!$C$9*12</f>
        <v>3000000</v>
      </c>
    </row>
    <row r="22" spans="2:9" x14ac:dyDescent="0.25">
      <c r="B22" s="14" t="s">
        <v>64</v>
      </c>
      <c r="C22" s="9">
        <f>Inputs!$C$8*Inputs!$C$10*12</f>
        <v>150000</v>
      </c>
    </row>
    <row r="23" spans="2:9" x14ac:dyDescent="0.25">
      <c r="B23" s="14" t="s">
        <v>65</v>
      </c>
      <c r="C23" s="9">
        <f>Inputs!$C$11*12</f>
        <v>24000</v>
      </c>
    </row>
    <row r="24" spans="2:9" x14ac:dyDescent="0.25">
      <c r="B24" s="1" t="s">
        <v>66</v>
      </c>
      <c r="C24" s="9">
        <f>C21+C22+C23</f>
        <v>3174000</v>
      </c>
    </row>
    <row r="25" spans="2:9" ht="8.1" customHeight="1" x14ac:dyDescent="0.25">
      <c r="B25" s="15" t="s">
        <v>12</v>
      </c>
      <c r="C25" s="17" t="s">
        <v>12</v>
      </c>
    </row>
    <row r="26" spans="2:9" x14ac:dyDescent="0.25">
      <c r="B26" s="14" t="s">
        <v>67</v>
      </c>
      <c r="C26" s="10">
        <f>Inputs!$C$12</f>
        <v>0.06</v>
      </c>
    </row>
    <row r="27" spans="2:9" x14ac:dyDescent="0.25">
      <c r="B27" s="14" t="s">
        <v>27</v>
      </c>
      <c r="C27" s="10">
        <f>Inputs!$C$13</f>
        <v>0.01</v>
      </c>
    </row>
    <row r="28" spans="2:9" x14ac:dyDescent="0.25">
      <c r="B28" s="14" t="s">
        <v>29</v>
      </c>
      <c r="C28" s="10">
        <f>Inputs!$C$14</f>
        <v>5.0000000000000001E-3</v>
      </c>
    </row>
    <row r="29" spans="2:9" x14ac:dyDescent="0.25">
      <c r="B29" s="14" t="s">
        <v>68</v>
      </c>
      <c r="C29" s="9">
        <f>-(C21+C22)*C26</f>
        <v>-189000</v>
      </c>
    </row>
    <row r="30" spans="2:9" x14ac:dyDescent="0.25">
      <c r="B30" s="14" t="s">
        <v>69</v>
      </c>
      <c r="C30" s="9">
        <f>-(C21+C22)*C27</f>
        <v>-31500</v>
      </c>
    </row>
    <row r="31" spans="2:9" x14ac:dyDescent="0.25">
      <c r="B31" s="14" t="s">
        <v>70</v>
      </c>
      <c r="C31" s="9">
        <f>-(C21+C22)*C28</f>
        <v>-15750</v>
      </c>
    </row>
    <row r="32" spans="2:9" x14ac:dyDescent="0.25">
      <c r="B32" s="1" t="s">
        <v>71</v>
      </c>
      <c r="C32" s="9">
        <f>C24+C29+C30+C31</f>
        <v>2937750</v>
      </c>
    </row>
    <row r="33" spans="2:3" ht="8.1" customHeight="1" x14ac:dyDescent="0.25">
      <c r="B33" s="15" t="s">
        <v>12</v>
      </c>
      <c r="C33" s="16" t="s">
        <v>12</v>
      </c>
    </row>
    <row r="34" spans="2:3" x14ac:dyDescent="0.25">
      <c r="B34" s="14" t="s">
        <v>32</v>
      </c>
      <c r="C34" s="9">
        <f>Inputs!$C$18</f>
        <v>180000</v>
      </c>
    </row>
    <row r="35" spans="2:3" x14ac:dyDescent="0.25">
      <c r="B35" s="14" t="s">
        <v>33</v>
      </c>
      <c r="C35" s="9">
        <f>Inputs!$C$19</f>
        <v>65000</v>
      </c>
    </row>
    <row r="36" spans="2:3" x14ac:dyDescent="0.25">
      <c r="B36" s="14" t="s">
        <v>34</v>
      </c>
      <c r="C36" s="9">
        <f>Inputs!$C$20</f>
        <v>95000</v>
      </c>
    </row>
    <row r="37" spans="2:3" x14ac:dyDescent="0.25">
      <c r="B37" s="14" t="s">
        <v>35</v>
      </c>
      <c r="C37" s="9">
        <f>Inputs!$C$21</f>
        <v>90000</v>
      </c>
    </row>
    <row r="38" spans="2:3" x14ac:dyDescent="0.25">
      <c r="B38" s="14" t="s">
        <v>36</v>
      </c>
      <c r="C38" s="9">
        <f>Inputs!$C$22</f>
        <v>60000</v>
      </c>
    </row>
    <row r="39" spans="2:3" x14ac:dyDescent="0.25">
      <c r="B39" s="14" t="s">
        <v>37</v>
      </c>
      <c r="C39" s="9">
        <f>Inputs!$C$23</f>
        <v>25000</v>
      </c>
    </row>
    <row r="40" spans="2:3" x14ac:dyDescent="0.25">
      <c r="B40" s="14" t="s">
        <v>38</v>
      </c>
      <c r="C40" s="9">
        <f>Inputs!$C$24</f>
        <v>20000</v>
      </c>
    </row>
    <row r="41" spans="2:3" x14ac:dyDescent="0.25">
      <c r="B41" s="14" t="s">
        <v>39</v>
      </c>
      <c r="C41" s="9">
        <f>Inputs!$C$25</f>
        <v>50000</v>
      </c>
    </row>
    <row r="42" spans="2:3" x14ac:dyDescent="0.25">
      <c r="B42" s="14" t="s">
        <v>40</v>
      </c>
      <c r="C42" s="10">
        <f>Inputs!$C$26</f>
        <v>0.03</v>
      </c>
    </row>
    <row r="43" spans="2:3" x14ac:dyDescent="0.25">
      <c r="B43" s="14" t="s">
        <v>72</v>
      </c>
      <c r="C43" s="9">
        <f>C32*C42</f>
        <v>88132.5</v>
      </c>
    </row>
    <row r="44" spans="2:3" x14ac:dyDescent="0.25">
      <c r="B44" s="1" t="s">
        <v>73</v>
      </c>
      <c r="C44" s="9">
        <f>SUM(C34:C41)+C43</f>
        <v>673132.5</v>
      </c>
    </row>
    <row r="45" spans="2:3" x14ac:dyDescent="0.25">
      <c r="B45" s="1" t="s">
        <v>74</v>
      </c>
      <c r="C45" s="9">
        <f>C32-C44</f>
        <v>2264617.5</v>
      </c>
    </row>
  </sheetData>
  <mergeCells count="5">
    <mergeCell ref="B4:E4"/>
    <mergeCell ref="G4:I4"/>
    <mergeCell ref="B2:E2"/>
    <mergeCell ref="G17:I19"/>
    <mergeCell ref="B14:E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M24"/>
  <sheetViews>
    <sheetView showGridLines="0" workbookViewId="0">
      <selection activeCell="T21" sqref="T21"/>
    </sheetView>
  </sheetViews>
  <sheetFormatPr defaultRowHeight="15" x14ac:dyDescent="0.25"/>
  <cols>
    <col min="1" max="1" width="3" customWidth="1"/>
    <col min="2" max="2" width="9.85546875" bestFit="1" customWidth="1"/>
    <col min="3" max="3" width="14.28515625" bestFit="1" customWidth="1"/>
    <col min="4" max="4" width="14.7109375" bestFit="1" customWidth="1"/>
    <col min="5" max="5" width="15.7109375" bestFit="1" customWidth="1"/>
    <col min="6" max="6" width="6.7109375" bestFit="1" customWidth="1"/>
    <col min="7" max="7" width="8.140625" bestFit="1" customWidth="1"/>
    <col min="8" max="8" width="5.5703125" customWidth="1"/>
    <col min="9" max="10" width="10.85546875" hidden="1" customWidth="1"/>
    <col min="11" max="12" width="9.28515625" hidden="1" customWidth="1"/>
    <col min="13" max="13" width="10.85546875" hidden="1" customWidth="1"/>
  </cols>
  <sheetData>
    <row r="2" spans="2:13" ht="26.1" customHeight="1" x14ac:dyDescent="0.25">
      <c r="B2" s="33" t="s">
        <v>75</v>
      </c>
      <c r="C2" s="32"/>
      <c r="D2" s="32"/>
      <c r="E2" s="32"/>
      <c r="F2" s="32"/>
      <c r="G2" s="32"/>
    </row>
    <row r="3" spans="2:13" ht="18" customHeight="1" x14ac:dyDescent="0.25">
      <c r="B3" s="38" t="s">
        <v>76</v>
      </c>
      <c r="C3" s="32"/>
      <c r="D3" s="32"/>
      <c r="E3" s="32"/>
      <c r="F3" s="32"/>
      <c r="G3" s="32"/>
    </row>
    <row r="5" spans="2:13" x14ac:dyDescent="0.25">
      <c r="B5" s="29" t="s">
        <v>77</v>
      </c>
      <c r="C5" s="29" t="s">
        <v>78</v>
      </c>
      <c r="D5" s="29" t="s">
        <v>79</v>
      </c>
      <c r="E5" s="29" t="s">
        <v>80</v>
      </c>
      <c r="F5" s="29" t="s">
        <v>81</v>
      </c>
      <c r="G5" s="29" t="s">
        <v>82</v>
      </c>
      <c r="H5" s="29" t="s">
        <v>51</v>
      </c>
      <c r="I5" s="30" t="s">
        <v>83</v>
      </c>
      <c r="J5" s="30" t="s">
        <v>84</v>
      </c>
      <c r="K5" s="30" t="s">
        <v>85</v>
      </c>
      <c r="L5" s="30" t="s">
        <v>86</v>
      </c>
      <c r="M5" s="30" t="s">
        <v>87</v>
      </c>
    </row>
    <row r="6" spans="2:13" x14ac:dyDescent="0.25">
      <c r="B6" s="1" t="s">
        <v>88</v>
      </c>
      <c r="C6" s="4">
        <v>0</v>
      </c>
      <c r="D6" s="4">
        <v>0</v>
      </c>
      <c r="E6" s="5">
        <v>0</v>
      </c>
      <c r="F6" s="10">
        <f>IFERROR(MAX(0,MIN(1,(K6+L6-Calculations!$C$23)/(I6+Calculations!$C$22))),"-")</f>
        <v>0.35453393956163398</v>
      </c>
      <c r="G6" s="10">
        <f>IFERROR((K6+L6)/J6,"-")</f>
        <v>0.38831824002013343</v>
      </c>
      <c r="H6" s="19">
        <f>IFERROR(M6/L6,"-")</f>
        <v>4.8425539590530047</v>
      </c>
      <c r="I6" s="20">
        <f>Calculations!$C$21*(1+$C6)</f>
        <v>3000000</v>
      </c>
      <c r="J6" s="20">
        <f>(I6+Calculations!$C$22+Calculations!$C$23) - (I6+Calculations!$C$22)*(Calculations!$C$26+Calculations!$C$27+Calculations!$C$28)</f>
        <v>2937750</v>
      </c>
      <c r="K6" s="20">
        <f>SUM(Inputs!C18:C25)*(1+D6) + J6*Inputs!C26</f>
        <v>673132.5</v>
      </c>
      <c r="L6" s="20">
        <f>-PMT((Calculations!$H$7+$E6/10000)/12,Calculations!$H$8*12,Calculations!$H$6)*12</f>
        <v>467649.40961914684</v>
      </c>
      <c r="M6" s="20">
        <f>J6-K6</f>
        <v>2264617.5</v>
      </c>
    </row>
    <row r="7" spans="2:13" x14ac:dyDescent="0.25">
      <c r="B7" s="1" t="s">
        <v>89</v>
      </c>
      <c r="C7" s="4">
        <v>-0.05</v>
      </c>
      <c r="D7" s="4">
        <v>0.03</v>
      </c>
      <c r="E7" s="5">
        <v>0</v>
      </c>
      <c r="F7" s="10">
        <f>IFERROR(MAX(0,MIN(1,(K7+L7-Calculations!$C$23)/(I7+Calculations!$C$22))),"-")</f>
        <v>0.37672313653971568</v>
      </c>
      <c r="G7" s="10">
        <f>IFERROR((K7+L7)/J7,"-")</f>
        <v>0.41235062865993105</v>
      </c>
      <c r="H7" s="19">
        <f>IFERROR(M7/L7,"-")</f>
        <v>4.5172301227118012</v>
      </c>
      <c r="I7" s="20">
        <f>Calculations!$C$21*(1+$C7)</f>
        <v>2850000</v>
      </c>
      <c r="J7" s="20">
        <f>(I7+Calculations!$C$22+Calculations!$C$23) - (I7+Calculations!$C$22)*(Calculations!$C$26+Calculations!$C$27+Calculations!$C$28)</f>
        <v>2799000</v>
      </c>
      <c r="K7" s="20">
        <f>SUM(Inputs!C18:C25)*(1+D7) + J7*Inputs!C26</f>
        <v>686520</v>
      </c>
      <c r="L7" s="20">
        <f>-PMT((Calculations!$H$7+$E7/10000)/12,Calculations!$H$8*12,Calculations!$H$6)*12</f>
        <v>467649.40961914684</v>
      </c>
      <c r="M7" s="20">
        <f>J7-K7</f>
        <v>2112480</v>
      </c>
    </row>
    <row r="8" spans="2:13" x14ac:dyDescent="0.25">
      <c r="B8" s="1" t="s">
        <v>90</v>
      </c>
      <c r="C8" s="4">
        <v>-0.1</v>
      </c>
      <c r="D8" s="4">
        <v>0.06</v>
      </c>
      <c r="E8" s="5">
        <v>0</v>
      </c>
      <c r="F8" s="10">
        <f>IFERROR(MAX(0,MIN(1,(K8+L8-Calculations!$C$23)/(I8+Calculations!$C$22))),"-")</f>
        <v>0.40124803846285856</v>
      </c>
      <c r="G8" s="10">
        <f>IFERROR((K8+L8)/J8,"-")</f>
        <v>0.43888991997712506</v>
      </c>
      <c r="H8" s="19">
        <f>IFERROR(M8/L8,"-")</f>
        <v>4.1919062863705969</v>
      </c>
      <c r="I8" s="20">
        <f>Calculations!$C$21*(1+$C8)</f>
        <v>2700000</v>
      </c>
      <c r="J8" s="20">
        <f>(I8+Calculations!$C$22+Calculations!$C$23) - (I8+Calculations!$C$22)*(Calculations!$C$26+Calculations!$C$27+Calculations!$C$28)</f>
        <v>2660250</v>
      </c>
      <c r="K8" s="20">
        <f>SUM(Inputs!C18:C25)*(1+D8) + J8*Inputs!C26</f>
        <v>699907.5</v>
      </c>
      <c r="L8" s="20">
        <f>-PMT((Calculations!$H$7+$E8/10000)/12,Calculations!$H$8*12,Calculations!$H$6)*12</f>
        <v>467649.40961914684</v>
      </c>
      <c r="M8" s="20">
        <f>J8-K8</f>
        <v>1960342.5</v>
      </c>
    </row>
    <row r="9" spans="2:13" x14ac:dyDescent="0.25">
      <c r="B9" s="1" t="s">
        <v>91</v>
      </c>
      <c r="C9" s="4">
        <v>-0.15</v>
      </c>
      <c r="D9" s="4">
        <v>0.08</v>
      </c>
      <c r="E9" s="5">
        <v>0</v>
      </c>
      <c r="F9" s="10">
        <f>IFERROR(MAX(0,MIN(1,(K9+L9-Calculations!$C$23)/(I9+Calculations!$C$22))),"-")</f>
        <v>0.42633126282190625</v>
      </c>
      <c r="G9" s="10">
        <f>IFERROR((K9+L9)/J9,"-")</f>
        <v>0.46602990665046479</v>
      </c>
      <c r="H9" s="19">
        <f>IFERROR(M9/L9,"-")</f>
        <v>3.8790918211088181</v>
      </c>
      <c r="I9" s="20">
        <f>Calculations!$C$21*(1+$C9)</f>
        <v>2550000</v>
      </c>
      <c r="J9" s="20">
        <f>(I9+Calculations!$C$22+Calculations!$C$23) - (I9+Calculations!$C$22)*(Calculations!$C$26+Calculations!$C$27+Calculations!$C$28)</f>
        <v>2521500</v>
      </c>
      <c r="K9" s="20">
        <f>SUM(Inputs!C18:C25)*(1+D9) + J9*Inputs!C26</f>
        <v>707445</v>
      </c>
      <c r="L9" s="20">
        <f>-PMT((Calculations!$H$7+$E9/10000)/12,Calculations!$H$8*12,Calculations!$H$6)*12</f>
        <v>467649.40961914684</v>
      </c>
      <c r="M9" s="20">
        <f>J9-K9</f>
        <v>1814055</v>
      </c>
    </row>
    <row r="12" spans="2:13" ht="15.95" customHeight="1" x14ac:dyDescent="0.25"/>
    <row r="22" spans="2:7" ht="54.95" customHeight="1" x14ac:dyDescent="0.25">
      <c r="B22" s="34" t="s">
        <v>92</v>
      </c>
      <c r="C22" s="32"/>
      <c r="D22" s="32"/>
      <c r="E22" s="32"/>
      <c r="F22" s="32"/>
      <c r="G22" s="32"/>
    </row>
    <row r="23" spans="2:7" x14ac:dyDescent="0.25">
      <c r="B23" s="32"/>
      <c r="C23" s="32"/>
      <c r="D23" s="32"/>
      <c r="E23" s="32"/>
      <c r="F23" s="32"/>
      <c r="G23" s="32"/>
    </row>
    <row r="24" spans="2:7" x14ac:dyDescent="0.25">
      <c r="B24" s="32"/>
      <c r="C24" s="32"/>
      <c r="D24" s="32"/>
      <c r="E24" s="32"/>
      <c r="F24" s="32"/>
      <c r="G24" s="32"/>
    </row>
  </sheetData>
  <mergeCells count="3">
    <mergeCell ref="B3:G3"/>
    <mergeCell ref="B2:G2"/>
    <mergeCell ref="B22:G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I16"/>
  <sheetViews>
    <sheetView showGridLines="0" workbookViewId="0">
      <selection activeCell="I30" sqref="I30"/>
    </sheetView>
  </sheetViews>
  <sheetFormatPr defaultRowHeight="15" x14ac:dyDescent="0.25"/>
  <cols>
    <col min="1" max="1" width="3" customWidth="1"/>
    <col min="2" max="2" width="23.28515625" bestFit="1" customWidth="1"/>
    <col min="3" max="3" width="19.42578125" bestFit="1" customWidth="1"/>
    <col min="4" max="4" width="10.85546875" bestFit="1" customWidth="1"/>
    <col min="5" max="5" width="9.28515625" bestFit="1" customWidth="1"/>
    <col min="6" max="6" width="12.140625" bestFit="1" customWidth="1"/>
    <col min="7" max="7" width="6.7109375" bestFit="1" customWidth="1"/>
    <col min="8" max="8" width="8.140625" bestFit="1" customWidth="1"/>
    <col min="9" max="9" width="5.5703125" bestFit="1" customWidth="1"/>
  </cols>
  <sheetData>
    <row r="2" spans="2:9" ht="26.1" customHeight="1" x14ac:dyDescent="0.25">
      <c r="B2" s="33" t="s">
        <v>93</v>
      </c>
      <c r="C2" s="32"/>
      <c r="D2" s="32"/>
      <c r="E2" s="32"/>
      <c r="F2" s="32"/>
      <c r="G2" s="32"/>
      <c r="H2" s="32"/>
    </row>
    <row r="3" spans="2:9" ht="18" customHeight="1" x14ac:dyDescent="0.25">
      <c r="B3" s="38" t="s">
        <v>94</v>
      </c>
      <c r="C3" s="32"/>
      <c r="D3" s="32"/>
      <c r="E3" s="32"/>
      <c r="F3" s="32"/>
      <c r="G3" s="32"/>
      <c r="H3" s="32"/>
    </row>
    <row r="5" spans="2:9" ht="18" customHeight="1" x14ac:dyDescent="0.25">
      <c r="B5" s="31" t="s">
        <v>95</v>
      </c>
      <c r="C5" s="32"/>
      <c r="D5" s="32"/>
    </row>
    <row r="6" spans="2:9" x14ac:dyDescent="0.25">
      <c r="B6" s="21" t="s">
        <v>96</v>
      </c>
      <c r="C6" s="4">
        <v>2.5000000000000001E-2</v>
      </c>
    </row>
    <row r="7" spans="2:9" x14ac:dyDescent="0.25">
      <c r="B7" s="21" t="s">
        <v>97</v>
      </c>
      <c r="C7" s="4">
        <v>3.5000000000000003E-2</v>
      </c>
    </row>
    <row r="9" spans="2:9" x14ac:dyDescent="0.25">
      <c r="B9" s="18" t="s">
        <v>98</v>
      </c>
      <c r="C9" s="29" t="s">
        <v>99</v>
      </c>
      <c r="D9" s="18" t="s">
        <v>100</v>
      </c>
      <c r="E9" s="18" t="s">
        <v>101</v>
      </c>
      <c r="F9" s="18" t="s">
        <v>44</v>
      </c>
      <c r="G9" s="18" t="s">
        <v>81</v>
      </c>
      <c r="H9" s="18" t="s">
        <v>82</v>
      </c>
      <c r="I9" s="18" t="s">
        <v>51</v>
      </c>
    </row>
    <row r="10" spans="2:9" x14ac:dyDescent="0.25">
      <c r="B10" s="22">
        <v>1</v>
      </c>
      <c r="C10" s="23">
        <f>Inputs!$C$9</f>
        <v>2500</v>
      </c>
      <c r="D10" s="23">
        <f>(Inputs!C8*C10*12+Inputs!C10*Inputs!C8*12+Inputs!C11*12) - (Inputs!C8*C10*12+Inputs!C10*Inputs!C8*12)*(Inputs!C12+Inputs!C13+Inputs!C14)</f>
        <v>2937750</v>
      </c>
      <c r="E10" s="23">
        <f>SUM(Inputs!C18:C25) + D10*Inputs!C26</f>
        <v>673132.5</v>
      </c>
      <c r="F10" s="23">
        <f>Calculations!$H$12</f>
        <v>467649.40961914684</v>
      </c>
      <c r="G10" s="24">
        <f>IFERROR(MAX(0,MIN(1,(E10+F10-Inputs!C11*12)/(Inputs!C8*C10*12+Inputs!C10*Inputs!C8*12))),"-")</f>
        <v>0.35453393956163398</v>
      </c>
      <c r="H10" s="24">
        <f>IFERROR((E10+F10)/D10,"-")</f>
        <v>0.38831824002013343</v>
      </c>
      <c r="I10" s="25">
        <f>IFERROR((D10-E10)/F10,"-")</f>
        <v>4.8425539590530047</v>
      </c>
    </row>
    <row r="11" spans="2:9" x14ac:dyDescent="0.25">
      <c r="B11" s="22">
        <v>2</v>
      </c>
      <c r="C11" s="23">
        <f>C10*(1+$C$6)</f>
        <v>2562.5</v>
      </c>
      <c r="D11" s="23">
        <f>(Inputs!C8*C11*12+Inputs!C10*Inputs!C8*12+Inputs!C11*12) - (Inputs!C8*C11*12+Inputs!C10*Inputs!C8*12)*(Inputs!C12+Inputs!C13+Inputs!C14)</f>
        <v>3007125</v>
      </c>
      <c r="E11" s="23">
        <f>SUM(Inputs!C18:C25)*(1+$C$7)^1 + D11*Inputs!C26</f>
        <v>695688.75</v>
      </c>
      <c r="F11" s="23">
        <f>Calculations!$H$12</f>
        <v>467649.40961914684</v>
      </c>
      <c r="G11" s="24">
        <f>IFERROR(MAX(0,MIN(1,(E11+F11-Inputs!C11*12)/(Inputs!C8*C11*12+Inputs!C10*Inputs!C8*12))),"-")</f>
        <v>0.35328315026950291</v>
      </c>
      <c r="H11" s="24">
        <f>IFERROR((E11+F11)/D11,"-")</f>
        <v>0.38686059263221412</v>
      </c>
      <c r="I11" s="25">
        <f>IFERROR((D11-E11)/F11,"-")</f>
        <v>4.9426690218264815</v>
      </c>
    </row>
    <row r="12" spans="2:9" x14ac:dyDescent="0.25">
      <c r="B12" s="22">
        <v>3</v>
      </c>
      <c r="C12" s="23">
        <f>C11*(1+$C$6)</f>
        <v>2626.5624999999995</v>
      </c>
      <c r="D12" s="23">
        <f>(Inputs!C8*C12*12+Inputs!C10*Inputs!C8*12+Inputs!C11*12) - (Inputs!C8*C12*12+Inputs!C10*Inputs!C8*12)*(Inputs!C12+Inputs!C13+Inputs!C14)</f>
        <v>3078234.3749999991</v>
      </c>
      <c r="E12" s="23">
        <f>SUM(Inputs!C18:C25)*(1+$C$7)^2 + D12*Inputs!C26</f>
        <v>719013.65624999988</v>
      </c>
      <c r="F12" s="23">
        <f>Calculations!$H$12</f>
        <v>467649.40961914684</v>
      </c>
      <c r="G12" s="24">
        <f>IFERROR(MAX(0,MIN(1,(E12+F12-Inputs!C11*12)/(Inputs!C8*C12*12+Inputs!C10*Inputs!C8*12))),"-")</f>
        <v>0.35212207181348387</v>
      </c>
      <c r="H12" s="24">
        <f>IFERROR((E12+F12)/D12,"-")</f>
        <v>0.3855012066354262</v>
      </c>
      <c r="I12" s="25">
        <f>IFERROR((D12-E12)/F12,"-")</f>
        <v>5.0448491331815122</v>
      </c>
    </row>
    <row r="13" spans="2:9" x14ac:dyDescent="0.25">
      <c r="B13" s="22">
        <v>4</v>
      </c>
      <c r="C13" s="23">
        <f>C12*(1+$C$6)</f>
        <v>2692.2265624999991</v>
      </c>
      <c r="D13" s="23">
        <f>(Inputs!C8*C13*12+Inputs!C10*Inputs!C8*12+Inputs!C11*12) - (Inputs!C8*C13*12+Inputs!C10*Inputs!C8*12)*(Inputs!C12+Inputs!C13+Inputs!C14)</f>
        <v>3151121.4843749986</v>
      </c>
      <c r="E13" s="23">
        <f>SUM(Inputs!C18:C25)*(1+$C$7)^3 + D13*Inputs!C26</f>
        <v>743133.6014062498</v>
      </c>
      <c r="F13" s="23">
        <f>Calculations!$H$12</f>
        <v>467649.40961914684</v>
      </c>
      <c r="G13" s="24">
        <f>IFERROR(MAX(0,MIN(1,(E13+F13-Inputs!C11*12)/(Inputs!C8*C13*12+Inputs!C10*Inputs!C8*12))),"-")</f>
        <v>0.35104945256640652</v>
      </c>
      <c r="H13" s="24">
        <f>IFERROR((E13+F13)/D13,"-")</f>
        <v>0.38423875976509564</v>
      </c>
      <c r="I13" s="25">
        <f>IFERROR((D13-E13)/F13,"-")</f>
        <v>5.1491305953530695</v>
      </c>
    </row>
    <row r="14" spans="2:9" x14ac:dyDescent="0.25">
      <c r="B14" s="22">
        <v>5</v>
      </c>
      <c r="C14" s="23">
        <f>C13*(1+$C$6)</f>
        <v>2759.5322265624986</v>
      </c>
      <c r="D14" s="23">
        <f>(Inputs!C8*C14*12+Inputs!C10*Inputs!C8*12+Inputs!C11*12) - (Inputs!C8*C14*12+Inputs!C10*Inputs!C8*12)*(Inputs!C12+Inputs!C13+Inputs!C14)</f>
        <v>3225830.7714843736</v>
      </c>
      <c r="E14" s="23">
        <f>SUM(Inputs!C18:C25)*(1+$C$7)^4 + D14*Inputs!C26</f>
        <v>768075.87851015606</v>
      </c>
      <c r="F14" s="23">
        <f>Calculations!$H$12</f>
        <v>467649.40961914684</v>
      </c>
      <c r="G14" s="24">
        <f>IFERROR(MAX(0,MIN(1,(E14+F14-Inputs!C11*12)/(Inputs!C8*C14*12+Inputs!C10*Inputs!C8*12))),"-")</f>
        <v>0.35006406381683292</v>
      </c>
      <c r="H14" s="24">
        <f>IFERROR((E14+F14)/D14,"-")</f>
        <v>0.383071951279292</v>
      </c>
      <c r="I14" s="25">
        <f>IFERROR((D14-E14)/F14,"-")</f>
        <v>5.2555500817927054</v>
      </c>
    </row>
    <row r="16" spans="2:9" ht="15" customHeight="1" x14ac:dyDescent="0.25"/>
  </sheetData>
  <mergeCells count="3">
    <mergeCell ref="B3:H3"/>
    <mergeCell ref="B2:H2"/>
    <mergeCell ref="B5:D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F24"/>
  <sheetViews>
    <sheetView showGridLines="0" workbookViewId="0">
      <selection activeCell="E26" sqref="E26"/>
    </sheetView>
  </sheetViews>
  <sheetFormatPr defaultRowHeight="15" x14ac:dyDescent="0.25"/>
  <cols>
    <col min="1" max="1" width="3" customWidth="1"/>
    <col min="2" max="2" width="38" customWidth="1"/>
    <col min="3" max="3" width="22" customWidth="1"/>
    <col min="4" max="4" width="3" customWidth="1"/>
    <col min="5" max="5" width="38" customWidth="1"/>
    <col min="6" max="6" width="22" customWidth="1"/>
    <col min="7" max="7" width="3" customWidth="1"/>
  </cols>
  <sheetData>
    <row r="2" spans="2:6" ht="26.1" customHeight="1" x14ac:dyDescent="0.25">
      <c r="B2" s="33" t="s">
        <v>102</v>
      </c>
      <c r="C2" s="32"/>
      <c r="D2" s="32"/>
      <c r="E2" s="32"/>
      <c r="F2" s="32"/>
    </row>
    <row r="3" spans="2:6" ht="18" customHeight="1" x14ac:dyDescent="0.25">
      <c r="B3" s="38" t="s">
        <v>103</v>
      </c>
      <c r="C3" s="32"/>
      <c r="D3" s="32"/>
      <c r="E3" s="32"/>
      <c r="F3" s="32"/>
    </row>
    <row r="5" spans="2:6" ht="18" customHeight="1" x14ac:dyDescent="0.25">
      <c r="B5" s="31" t="s">
        <v>104</v>
      </c>
      <c r="C5" s="32"/>
      <c r="E5" s="31" t="s">
        <v>105</v>
      </c>
      <c r="F5" s="32"/>
    </row>
    <row r="6" spans="2:6" x14ac:dyDescent="0.25">
      <c r="B6" s="1" t="s">
        <v>106</v>
      </c>
      <c r="C6" s="26">
        <f>Calculations!C6</f>
        <v>0.35453393956163398</v>
      </c>
      <c r="E6" s="1" t="s">
        <v>107</v>
      </c>
      <c r="F6" s="26">
        <f>Inputs!H12</f>
        <v>0.92</v>
      </c>
    </row>
    <row r="7" spans="2:6" x14ac:dyDescent="0.25">
      <c r="B7" s="1" t="s">
        <v>108</v>
      </c>
      <c r="C7" s="26">
        <f>Calculations!C7</f>
        <v>0.38831824002013343</v>
      </c>
      <c r="E7" s="1" t="s">
        <v>109</v>
      </c>
      <c r="F7" s="26">
        <f>Inputs!H13</f>
        <v>0.85</v>
      </c>
    </row>
    <row r="8" spans="2:6" x14ac:dyDescent="0.25">
      <c r="B8" s="1" t="s">
        <v>49</v>
      </c>
      <c r="C8" s="27">
        <f>Calculations!C8</f>
        <v>2264617.5</v>
      </c>
      <c r="E8" s="1" t="s">
        <v>110</v>
      </c>
      <c r="F8" s="26">
        <f>Calculations!C11</f>
        <v>0.56546606043836611</v>
      </c>
    </row>
    <row r="9" spans="2:6" x14ac:dyDescent="0.25">
      <c r="B9" s="1" t="s">
        <v>50</v>
      </c>
      <c r="C9" s="27">
        <f>Calculations!C9</f>
        <v>467649.40961914684</v>
      </c>
      <c r="E9" s="1" t="s">
        <v>111</v>
      </c>
      <c r="F9" s="26">
        <f>Calculations!C12</f>
        <v>0.495466060438366</v>
      </c>
    </row>
    <row r="10" spans="2:6" x14ac:dyDescent="0.25">
      <c r="B10" s="1" t="s">
        <v>51</v>
      </c>
      <c r="C10" s="28">
        <f>Calculations!C10</f>
        <v>4.8425539590530047</v>
      </c>
    </row>
    <row r="11" spans="2:6" x14ac:dyDescent="0.25">
      <c r="B11" s="1" t="s">
        <v>112</v>
      </c>
      <c r="C11" s="26">
        <f>Calculations!H15</f>
        <v>0.34840269230769233</v>
      </c>
    </row>
    <row r="14" spans="2:6" x14ac:dyDescent="0.25">
      <c r="B14" s="40" t="s">
        <v>113</v>
      </c>
      <c r="C14" s="32"/>
      <c r="D14" s="32"/>
      <c r="E14" s="32"/>
      <c r="F14" s="32"/>
    </row>
    <row r="15" spans="2:6" x14ac:dyDescent="0.25">
      <c r="B15" s="32"/>
      <c r="C15" s="32"/>
      <c r="D15" s="32"/>
      <c r="E15" s="32"/>
      <c r="F15" s="32"/>
    </row>
    <row r="16" spans="2:6" x14ac:dyDescent="0.25">
      <c r="B16" s="32"/>
      <c r="C16" s="32"/>
      <c r="D16" s="32"/>
      <c r="E16" s="32"/>
      <c r="F16" s="32"/>
    </row>
    <row r="17" spans="2:6" x14ac:dyDescent="0.25">
      <c r="B17" s="32"/>
      <c r="C17" s="32"/>
      <c r="D17" s="32"/>
      <c r="E17" s="32"/>
      <c r="F17" s="32"/>
    </row>
    <row r="18" spans="2:6" x14ac:dyDescent="0.25">
      <c r="B18" s="32"/>
      <c r="C18" s="32"/>
      <c r="D18" s="32"/>
      <c r="E18" s="32"/>
      <c r="F18" s="32"/>
    </row>
    <row r="24" spans="2:6" ht="90" customHeight="1" x14ac:dyDescent="0.25"/>
  </sheetData>
  <mergeCells count="5">
    <mergeCell ref="B14:F18"/>
    <mergeCell ref="B2:F2"/>
    <mergeCell ref="B5:C5"/>
    <mergeCell ref="B3:F3"/>
    <mergeCell ref="E5:F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Read Me</vt:lpstr>
      <vt:lpstr>Inputs</vt:lpstr>
      <vt:lpstr>Calculations</vt:lpstr>
      <vt:lpstr>Scenarios</vt:lpstr>
      <vt:lpstr>Projection</vt:lpstr>
      <vt:lpstr>Dashboard</vt:lpstr>
      <vt:lpstr>Calc_BE_Occ</vt:lpstr>
      <vt:lpstr>Calc_BE_Ratio</vt:lpstr>
      <vt:lpstr>Calc_DS_Used</vt:lpstr>
      <vt:lpstr>Calc_NOI</vt:lpstr>
      <vt:lpstr>Calc_OpEx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Multifamily Break Even Analysis Model</dc:title>
  <cp:lastModifiedBy>John Morelli</cp:lastModifiedBy>
  <dcterms:created xsi:type="dcterms:W3CDTF">2026-02-19T03:48:26Z</dcterms:created>
  <dcterms:modified xsi:type="dcterms:W3CDTF">2026-02-19T04:06:11Z</dcterms:modified>
</cp:coreProperties>
</file>